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295b71879869c1/Documents/Evolution Stuff/Have You Done the Math/"/>
    </mc:Choice>
  </mc:AlternateContent>
  <xr:revisionPtr revIDLastSave="0" documentId="8_{B21C01E5-789D-42E7-AF3F-81B9C628270F}" xr6:coauthVersionLast="45" xr6:coauthVersionMax="45" xr10:uidLastSave="{00000000-0000-0000-0000-000000000000}"/>
  <bookViews>
    <workbookView xWindow="-120" yWindow="-120" windowWidth="21840" windowHeight="13140"/>
  </bookViews>
  <sheets>
    <sheet name="infinite series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2" l="1"/>
  <c r="K33" i="2" s="1"/>
  <c r="I57" i="2" s="1"/>
  <c r="I28" i="2"/>
  <c r="K28" i="2"/>
  <c r="I30" i="2" s="1"/>
  <c r="K30" i="2" s="1"/>
  <c r="I56" i="2" s="1"/>
  <c r="I94" i="2" s="1"/>
  <c r="J94" i="2" s="1"/>
  <c r="J105" i="2" s="1"/>
  <c r="K105" i="2" s="1"/>
  <c r="J110" i="2" s="1"/>
  <c r="K110" i="2" s="1"/>
  <c r="J124" i="2" s="1"/>
  <c r="K124" i="2" s="1"/>
  <c r="J136" i="2" s="1"/>
  <c r="K136" i="2" s="1"/>
  <c r="F54" i="2"/>
  <c r="J54" i="2"/>
  <c r="F91" i="2"/>
  <c r="F92" i="2"/>
  <c r="F71" i="2"/>
  <c r="F72" i="2"/>
  <c r="J72" i="2" s="1"/>
  <c r="I18" i="2"/>
  <c r="I31" i="4"/>
  <c r="K31" i="4"/>
  <c r="I33" i="4" s="1"/>
  <c r="K33" i="4" s="1"/>
  <c r="I59" i="4" s="1"/>
  <c r="I97" i="4" s="1"/>
  <c r="J97" i="4" s="1"/>
  <c r="J108" i="4" s="1"/>
  <c r="K108" i="4" s="1"/>
  <c r="J114" i="4" s="1"/>
  <c r="K114" i="4" s="1"/>
  <c r="J118" i="4" s="1"/>
  <c r="K118" i="4" s="1"/>
  <c r="J132" i="4" s="1"/>
  <c r="K132" i="4" s="1"/>
  <c r="J144" i="4" s="1"/>
  <c r="K144" i="4" s="1"/>
  <c r="I21" i="4"/>
  <c r="K34" i="4"/>
  <c r="K36" i="4"/>
  <c r="I60" i="4"/>
  <c r="F57" i="4"/>
  <c r="J57" i="4" s="1"/>
  <c r="F94" i="4"/>
  <c r="F95" i="4"/>
  <c r="F74" i="4"/>
  <c r="F75" i="4" s="1"/>
  <c r="J75" i="4" s="1"/>
  <c r="I98" i="4"/>
  <c r="J98" i="4"/>
  <c r="J109" i="4" s="1"/>
  <c r="K109" i="4" s="1"/>
  <c r="J115" i="4" s="1"/>
  <c r="K115" i="4" s="1"/>
  <c r="J119" i="4" s="1"/>
  <c r="K119" i="4" s="1"/>
  <c r="J134" i="4" s="1"/>
  <c r="K134" i="4" s="1"/>
  <c r="J145" i="4" s="1"/>
  <c r="K145" i="4" s="1"/>
  <c r="I78" i="4"/>
  <c r="J78" i="4"/>
  <c r="I77" i="4" l="1"/>
  <c r="J77" i="4" s="1"/>
  <c r="I74" i="2"/>
  <c r="J74" i="2" s="1"/>
  <c r="I95" i="2"/>
  <c r="J95" i="2" s="1"/>
  <c r="J106" i="2" s="1"/>
  <c r="K106" i="2" s="1"/>
  <c r="J111" i="2" s="1"/>
  <c r="K111" i="2" s="1"/>
  <c r="J126" i="2" s="1"/>
  <c r="K126" i="2" s="1"/>
  <c r="J137" i="2" s="1"/>
  <c r="K137" i="2" s="1"/>
  <c r="I75" i="2"/>
  <c r="J75" i="2" s="1"/>
</calcChain>
</file>

<file path=xl/sharedStrings.xml><?xml version="1.0" encoding="utf-8"?>
<sst xmlns="http://schemas.openxmlformats.org/spreadsheetml/2006/main" count="189" uniqueCount="107">
  <si>
    <t>Origin of Life Probability Calculations</t>
  </si>
  <si>
    <t>by Tony Feiger</t>
  </si>
  <si>
    <t>Complexity</t>
  </si>
  <si>
    <t>Assumptions:</t>
  </si>
  <si>
    <t>a. Proteins for life are formed by only L- amino acids - 50% chance to get the right one at any site</t>
  </si>
  <si>
    <t>b. Peptide bonds, also needed, occur no more than 50% of the time - assume 50% chance</t>
  </si>
  <si>
    <t>d. Assume 50 active sites per protein</t>
  </si>
  <si>
    <t>e. Assume 75 proteins needed for simplest life form</t>
  </si>
  <si>
    <t>Do the math:</t>
  </si>
  <si>
    <t>=</t>
  </si>
  <si>
    <t xml:space="preserve">Wow!!!  </t>
  </si>
  <si>
    <t>That's a very slim chance.  But when you consider time and space, the chances get much better….</t>
  </si>
  <si>
    <t>Time</t>
  </si>
  <si>
    <t>a. one billion years of reactions (the max time between the earth cooling and first life appearing)</t>
  </si>
  <si>
    <t>b. reaction rate of 1E+12 per second</t>
  </si>
  <si>
    <t>Calculations:</t>
  </si>
  <si>
    <t>number of reactions in one billion years =</t>
  </si>
  <si>
    <t>1000000000 years x 60 sec/min x 60 min/hr x 24 hrs/day x 365 days/yr</t>
  </si>
  <si>
    <t>x 1E+12 reactions/sec</t>
  </si>
  <si>
    <t xml:space="preserve">This increases the probability of life forming by random chance to: </t>
  </si>
  <si>
    <t>That's still a very slim chance.   Now let's consider space.</t>
  </si>
  <si>
    <t>Space</t>
  </si>
  <si>
    <t>Chances are not looking good.</t>
  </si>
  <si>
    <t>Other planets?</t>
  </si>
  <si>
    <t>Let's expand beyond earth.  Perhaps life started elsewhere and then was transferred somehow to earth.</t>
  </si>
  <si>
    <t>Intelligent design is looking like a reasonable explanation.</t>
  </si>
  <si>
    <t>Other organisms</t>
  </si>
  <si>
    <t>Data:</t>
  </si>
  <si>
    <t>Michigan is 96,705 sq. mi.</t>
  </si>
  <si>
    <t>a Quarter is 1" dia. X .050"</t>
  </si>
  <si>
    <t>The Math:</t>
  </si>
  <si>
    <t xml:space="preserve">x Michigan/96705 sq. mi. x .050 in/Michigan x ft/12 in x 1 mi./5280 ft. </t>
  </si>
  <si>
    <t>How many light years deep is this?</t>
  </si>
  <si>
    <t>speed of light is 186,000 mi/sec</t>
  </si>
  <si>
    <t>We are not getting anywhere in trying to grasp the size of this number.</t>
  </si>
  <si>
    <t>Implications</t>
  </si>
  <si>
    <t>It could be said that it is impossible to explain the origin of life by random chance or naturalism.</t>
  </si>
  <si>
    <t>We are not here by accident.  We were designed by a higher intelligence.  I call Him God.</t>
  </si>
  <si>
    <t>Revised to allow any 75 protiens!</t>
  </si>
  <si>
    <t>x  E-31^75 =</t>
  </si>
  <si>
    <t>x  1E-2325</t>
  </si>
  <si>
    <t>1.884E-2258</t>
  </si>
  <si>
    <t>5.94E-2230</t>
  </si>
  <si>
    <t>Including everything more complex, divide by .75</t>
  </si>
  <si>
    <t>Revised to allow D or L Amino Acids</t>
  </si>
  <si>
    <t>a. Peptide bonds needed for stability, occur no more than 50% of the time - assume 50% chance</t>
  </si>
  <si>
    <t>x  E-16^75 =</t>
  </si>
  <si>
    <t>x  1E-1200</t>
  </si>
  <si>
    <t>Revised to allow an alternate system based on D-type amino acids</t>
  </si>
  <si>
    <t>(we will later factor in the possibility of a d-amino acid based system)</t>
  </si>
  <si>
    <t>Revised to use all carbon in the universe!</t>
  </si>
  <si>
    <t xml:space="preserve">a. Total number of carbon atoms on Earth (rocks,atmosphere, biosphere, hydrosphere) = </t>
  </si>
  <si>
    <t>atoms</t>
  </si>
  <si>
    <t>The maximum number of amino acids =</t>
  </si>
  <si>
    <t>c. 20 billion years for life to start</t>
  </si>
  <si>
    <t>d. 1E+12 reactions/sec rate</t>
  </si>
  <si>
    <t xml:space="preserve">a. Total number of carbon atoms in the Universe = </t>
  </si>
  <si>
    <t>Multipling by two to include the possibility of a system based upon a d-shaped amino acid</t>
  </si>
  <si>
    <t>To grasp the number, let's pile up quarters across a surface area the size of of the state of Michigan and see how tall it is.</t>
  </si>
  <si>
    <t>The chance of snatching a particular atom out of the universe is 1 out of 1.0E79  !!!</t>
  </si>
  <si>
    <t>Revised 6/30/06 to assume just two carbon atoms per amino acid</t>
  </si>
  <si>
    <t xml:space="preserve">b. Least number of carbon atoms per amino acid = </t>
  </si>
  <si>
    <t>6.861 E-2185</t>
  </si>
  <si>
    <t>The max number of simultaneous experiments =</t>
  </si>
  <si>
    <t>1.28 E-2153</t>
  </si>
  <si>
    <t>= 1.703 E-2153</t>
  </si>
  <si>
    <t>3.406 E-2153</t>
  </si>
  <si>
    <t>the chance is the inverse or 1 in 2.936 E+2152!</t>
  </si>
  <si>
    <t>How big is 2.936 E+2152?</t>
  </si>
  <si>
    <t>The chances of life starting by random chance was calculated to be 1 in 2.936 E+2152.  How big is this number?</t>
  </si>
  <si>
    <t>2.936 E+2152 quarters x 1 sq. in/quarter x 1 sq. ft./12^2 sq. in. x 1 sq. mi./5280^2 sq. ft. x</t>
  </si>
  <si>
    <t>5.968E+2131 miles of quarters on the state of Michigan!</t>
  </si>
  <si>
    <t>5.968E+2131 miles x 1 light-sec/186,000 mi x 1 min./60 sec. x 1 hr/60 min. x 1 day/24 hr x 1 year/365 days</t>
  </si>
  <si>
    <t>1.017E+2119 light years deep</t>
  </si>
  <si>
    <t>f.  Assume 50% chance that proteins will find each other and interact properly.</t>
  </si>
  <si>
    <t>g. Assume 50% chance that resulting combination of proteins will live and reproduce.</t>
  </si>
  <si>
    <t xml:space="preserve">7/30/06 - added assumptions f and g </t>
  </si>
  <si>
    <r>
      <t>Probability of forming all 75 proteins = .5</t>
    </r>
    <r>
      <rPr>
        <vertAlign val="superscript"/>
        <sz val="10"/>
        <rFont val="Arial"/>
        <family val="2"/>
      </rPr>
      <t>99x75</t>
    </r>
    <r>
      <rPr>
        <sz val="10"/>
        <rFont val="Arial"/>
      </rPr>
      <t xml:space="preserve"> = .5</t>
    </r>
    <r>
      <rPr>
        <vertAlign val="superscript"/>
        <sz val="10"/>
        <rFont val="Arial"/>
        <family val="2"/>
      </rPr>
      <t>7425</t>
    </r>
  </si>
  <si>
    <t>Now we have a computational problem: The spreadsheet can't calculate a number so small.</t>
  </si>
  <si>
    <r>
      <t>Solution:  Break down the problem into two parts - .5</t>
    </r>
    <r>
      <rPr>
        <vertAlign val="superscript"/>
        <sz val="10"/>
        <rFont val="Arial"/>
        <family val="2"/>
      </rPr>
      <t>7500</t>
    </r>
    <r>
      <rPr>
        <sz val="10"/>
        <rFont val="Arial"/>
      </rPr>
      <t xml:space="preserve"> = (.5</t>
    </r>
    <r>
      <rPr>
        <vertAlign val="superscript"/>
        <sz val="10"/>
        <rFont val="Arial"/>
        <family val="2"/>
      </rPr>
      <t>100</t>
    </r>
    <r>
      <rPr>
        <sz val="10"/>
        <rFont val="Arial"/>
      </rPr>
      <t>)</t>
    </r>
    <r>
      <rPr>
        <vertAlign val="superscript"/>
        <sz val="10"/>
        <rFont val="Arial"/>
        <family val="2"/>
      </rPr>
      <t>75</t>
    </r>
  </si>
  <si>
    <r>
      <t>.5</t>
    </r>
    <r>
      <rPr>
        <vertAlign val="superscript"/>
        <sz val="10"/>
        <rFont val="Arial"/>
        <family val="2"/>
      </rPr>
      <t>100</t>
    </r>
    <r>
      <rPr>
        <sz val="10"/>
        <rFont val="Arial"/>
      </rPr>
      <t xml:space="preserve"> =</t>
    </r>
  </si>
  <si>
    <r>
      <t>(.5</t>
    </r>
    <r>
      <rPr>
        <vertAlign val="superscript"/>
        <sz val="10"/>
        <rFont val="Arial"/>
        <family val="2"/>
      </rPr>
      <t>100</t>
    </r>
    <r>
      <rPr>
        <sz val="10"/>
        <rFont val="Arial"/>
      </rPr>
      <t>)</t>
    </r>
    <r>
      <rPr>
        <vertAlign val="superscript"/>
        <sz val="10"/>
        <rFont val="Arial"/>
        <family val="2"/>
      </rPr>
      <t>75</t>
    </r>
    <r>
      <rPr>
        <sz val="10"/>
        <rFont val="Arial"/>
      </rPr>
      <t xml:space="preserve"> = 7.89E-31 x 7.89E-31 x 7.89E-31 x….(product of 75 terms) =</t>
    </r>
  </si>
  <si>
    <t xml:space="preserve">    7.89^75  =</t>
  </si>
  <si>
    <r>
      <t>Probability of forming one protein = .5</t>
    </r>
    <r>
      <rPr>
        <vertAlign val="superscript"/>
        <sz val="10"/>
        <rFont val="Arial"/>
        <family val="2"/>
      </rPr>
      <t>50</t>
    </r>
    <r>
      <rPr>
        <sz val="10"/>
        <rFont val="Arial"/>
      </rPr>
      <t xml:space="preserve"> x .5</t>
    </r>
    <r>
      <rPr>
        <vertAlign val="superscript"/>
        <sz val="10"/>
        <rFont val="Arial"/>
        <family val="2"/>
      </rPr>
      <t>49</t>
    </r>
    <r>
      <rPr>
        <sz val="10"/>
        <rFont val="Arial"/>
      </rPr>
      <t xml:space="preserve"> = .5</t>
    </r>
    <r>
      <rPr>
        <vertAlign val="superscript"/>
        <sz val="10"/>
        <rFont val="Arial"/>
        <family val="2"/>
      </rPr>
      <t>99</t>
    </r>
  </si>
  <si>
    <r>
      <t>Probability of forming one protein = .5</t>
    </r>
    <r>
      <rPr>
        <vertAlign val="superscript"/>
        <sz val="10"/>
        <rFont val="Arial"/>
        <family val="2"/>
      </rPr>
      <t>49</t>
    </r>
  </si>
  <si>
    <r>
      <t>Probability of forming all 75 proteins = .5</t>
    </r>
    <r>
      <rPr>
        <vertAlign val="superscript"/>
        <sz val="10"/>
        <rFont val="Arial"/>
        <family val="2"/>
      </rPr>
      <t>49x75</t>
    </r>
    <r>
      <rPr>
        <sz val="10"/>
        <rFont val="Arial"/>
      </rPr>
      <t xml:space="preserve"> = .5</t>
    </r>
    <r>
      <rPr>
        <vertAlign val="superscript"/>
        <sz val="10"/>
        <rFont val="Arial"/>
        <family val="2"/>
      </rPr>
      <t>3675</t>
    </r>
  </si>
  <si>
    <r>
      <t>Probability that proteins would find and interact properly = .5</t>
    </r>
    <r>
      <rPr>
        <vertAlign val="superscript"/>
        <sz val="10"/>
        <rFont val="Arial"/>
        <family val="2"/>
      </rPr>
      <t>3675+74</t>
    </r>
    <r>
      <rPr>
        <sz val="10"/>
        <rFont val="Arial"/>
      </rPr>
      <t xml:space="preserve"> = .5</t>
    </r>
    <r>
      <rPr>
        <vertAlign val="superscript"/>
        <sz val="10"/>
        <rFont val="Arial"/>
        <family val="2"/>
      </rPr>
      <t>3749</t>
    </r>
  </si>
  <si>
    <r>
      <t>Probability that resulting combination would live and repoduce = .5</t>
    </r>
    <r>
      <rPr>
        <vertAlign val="superscript"/>
        <sz val="10"/>
        <rFont val="Arial"/>
        <family val="2"/>
      </rPr>
      <t>3749+1</t>
    </r>
    <r>
      <rPr>
        <sz val="10"/>
        <rFont val="Arial"/>
      </rPr>
      <t xml:space="preserve"> = .5</t>
    </r>
    <r>
      <rPr>
        <vertAlign val="superscript"/>
        <sz val="10"/>
        <rFont val="Arial"/>
        <family val="2"/>
      </rPr>
      <t>3750</t>
    </r>
  </si>
  <si>
    <r>
      <t>Solution:  Break down the problem into two parts - .5</t>
    </r>
    <r>
      <rPr>
        <vertAlign val="superscript"/>
        <sz val="10"/>
        <rFont val="Arial"/>
        <family val="2"/>
      </rPr>
      <t>3750</t>
    </r>
    <r>
      <rPr>
        <sz val="10"/>
        <rFont val="Arial"/>
      </rPr>
      <t xml:space="preserve"> = (.5</t>
    </r>
    <r>
      <rPr>
        <vertAlign val="superscript"/>
        <sz val="10"/>
        <rFont val="Arial"/>
        <family val="2"/>
      </rPr>
      <t>50</t>
    </r>
    <r>
      <rPr>
        <sz val="10"/>
        <rFont val="Arial"/>
      </rPr>
      <t>)</t>
    </r>
    <r>
      <rPr>
        <vertAlign val="superscript"/>
        <sz val="10"/>
        <rFont val="Arial"/>
        <family val="2"/>
      </rPr>
      <t>75</t>
    </r>
  </si>
  <si>
    <r>
      <t>.5</t>
    </r>
    <r>
      <rPr>
        <vertAlign val="superscript"/>
        <sz val="10"/>
        <rFont val="Arial"/>
        <family val="2"/>
      </rPr>
      <t>50</t>
    </r>
    <r>
      <rPr>
        <sz val="10"/>
        <rFont val="Arial"/>
      </rPr>
      <t xml:space="preserve"> =</t>
    </r>
  </si>
  <si>
    <r>
      <t>(.5</t>
    </r>
    <r>
      <rPr>
        <vertAlign val="superscript"/>
        <sz val="10"/>
        <rFont val="Arial"/>
        <family val="2"/>
      </rPr>
      <t>50</t>
    </r>
    <r>
      <rPr>
        <sz val="10"/>
        <rFont val="Arial"/>
      </rPr>
      <t>)</t>
    </r>
    <r>
      <rPr>
        <vertAlign val="superscript"/>
        <sz val="10"/>
        <rFont val="Arial"/>
        <family val="2"/>
      </rPr>
      <t>75</t>
    </r>
    <r>
      <rPr>
        <sz val="10"/>
        <rFont val="Arial"/>
      </rPr>
      <t xml:space="preserve"> = 8.89E-16 x 8.89E-16 x8.89E-16 x….(product of 75 terms) =</t>
    </r>
  </si>
  <si>
    <t xml:space="preserve">    8.89^75  =</t>
  </si>
  <si>
    <t>1.37E-1133</t>
  </si>
  <si>
    <t>4.32 E-1105</t>
  </si>
  <si>
    <t>5.00 E-1060</t>
  </si>
  <si>
    <t>9.31 E-1029</t>
  </si>
  <si>
    <r>
      <t>Probability that 75 proteins would form, find and interact properly = .5</t>
    </r>
    <r>
      <rPr>
        <vertAlign val="superscript"/>
        <sz val="10"/>
        <rFont val="Arial"/>
        <family val="2"/>
      </rPr>
      <t>7425+74</t>
    </r>
    <r>
      <rPr>
        <sz val="10"/>
        <rFont val="Arial"/>
      </rPr>
      <t xml:space="preserve"> = .5</t>
    </r>
    <r>
      <rPr>
        <vertAlign val="superscript"/>
        <sz val="10"/>
        <rFont val="Arial"/>
        <family val="2"/>
      </rPr>
      <t>7499</t>
    </r>
  </si>
  <si>
    <r>
      <t>Probability that 75 proteins would form, live and repoduce = .5</t>
    </r>
    <r>
      <rPr>
        <vertAlign val="superscript"/>
        <sz val="10"/>
        <rFont val="Arial"/>
        <family val="2"/>
      </rPr>
      <t>7499+1</t>
    </r>
    <r>
      <rPr>
        <sz val="10"/>
        <rFont val="Arial"/>
      </rPr>
      <t xml:space="preserve"> = .5</t>
    </r>
    <r>
      <rPr>
        <vertAlign val="superscript"/>
        <sz val="10"/>
        <rFont val="Arial"/>
        <family val="2"/>
      </rPr>
      <t>7500</t>
    </r>
  </si>
  <si>
    <t>Including everything more complex, divide by .5</t>
  </si>
  <si>
    <t>= 1.86E-1028</t>
  </si>
  <si>
    <t>the chance is the inverse or 1 in 5.37 E+1027!</t>
  </si>
  <si>
    <t>How big is 5.37 E+1027?</t>
  </si>
  <si>
    <t>The chances of life starting by random chance was calculated to be 1 in 5.37 E+1027.  How big is this number?</t>
  </si>
  <si>
    <t>5.37 E+1027 quarters x 1 sq. in/quarter x 1 sq. ft./12^2 sq. in. x 1 sq. mi./5280^2 sq. ft. x</t>
  </si>
  <si>
    <t>1.092E+1007 miles of quarters on the state of Michigan!</t>
  </si>
  <si>
    <t>1.092E+1007 miles x 1 light-sec/186,000 mi x 1 min./60 sec. x 1 hr/60 min. x 1 day/24 hr x 1 year/365 days</t>
  </si>
  <si>
    <t>1.86E+994 light years deep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</si>
</sst>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6" formatCode="0.0000000E+00"/>
    <numFmt numFmtId="168" formatCode="0.0000000"/>
  </numFmts>
  <fonts count="8" x14ac:knownFonts="1">
    <font>
      <sz val="10"/>
      <name val="Arial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 applyAlignment="1">
      <alignment horizontal="center"/>
    </xf>
    <xf numFmtId="11" fontId="0" fillId="0" borderId="0" xfId="0" applyNumberFormat="1"/>
    <xf numFmtId="0" fontId="0" fillId="0" borderId="0" xfId="0" applyNumberFormat="1"/>
    <xf numFmtId="0" fontId="4" fillId="0" borderId="0" xfId="0" applyFont="1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166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workbookViewId="0">
      <selection activeCell="C33" sqref="C33"/>
    </sheetView>
  </sheetViews>
  <sheetFormatPr defaultRowHeight="12.75" x14ac:dyDescent="0.2"/>
  <cols>
    <col min="4" max="4" width="12.42578125" bestFit="1" customWidth="1"/>
    <col min="6" max="6" width="16.7109375" customWidth="1"/>
    <col min="7" max="7" width="10.85546875" customWidth="1"/>
    <col min="8" max="10" width="12.42578125" bestFit="1" customWidth="1"/>
  </cols>
  <sheetData>
    <row r="1" spans="1:8" ht="15.75" x14ac:dyDescent="0.25">
      <c r="A1" s="1" t="s">
        <v>0</v>
      </c>
      <c r="F1" t="s">
        <v>1</v>
      </c>
      <c r="H1" s="12" t="s">
        <v>38</v>
      </c>
    </row>
    <row r="2" spans="1:8" x14ac:dyDescent="0.2">
      <c r="H2" s="12" t="s">
        <v>48</v>
      </c>
    </row>
    <row r="3" spans="1:8" x14ac:dyDescent="0.2">
      <c r="A3" s="2" t="s">
        <v>2</v>
      </c>
      <c r="H3" s="12" t="s">
        <v>50</v>
      </c>
    </row>
    <row r="4" spans="1:8" x14ac:dyDescent="0.2">
      <c r="H4" s="12" t="s">
        <v>60</v>
      </c>
    </row>
    <row r="5" spans="1:8" x14ac:dyDescent="0.2">
      <c r="H5" s="12" t="s">
        <v>76</v>
      </c>
    </row>
    <row r="6" spans="1:8" x14ac:dyDescent="0.2">
      <c r="A6" t="s">
        <v>3</v>
      </c>
    </row>
    <row r="8" spans="1:8" x14ac:dyDescent="0.2">
      <c r="B8" t="s">
        <v>4</v>
      </c>
    </row>
    <row r="9" spans="1:8" x14ac:dyDescent="0.2">
      <c r="C9" t="s">
        <v>49</v>
      </c>
    </row>
    <row r="10" spans="1:8" x14ac:dyDescent="0.2">
      <c r="B10" t="s">
        <v>5</v>
      </c>
    </row>
    <row r="12" spans="1:8" x14ac:dyDescent="0.2">
      <c r="B12" t="s">
        <v>6</v>
      </c>
    </row>
    <row r="13" spans="1:8" x14ac:dyDescent="0.2">
      <c r="B13" t="s">
        <v>7</v>
      </c>
    </row>
    <row r="14" spans="1:8" x14ac:dyDescent="0.2">
      <c r="B14" t="s">
        <v>74</v>
      </c>
    </row>
    <row r="15" spans="1:8" x14ac:dyDescent="0.2">
      <c r="B15" t="s">
        <v>75</v>
      </c>
    </row>
    <row r="17" spans="1:11" x14ac:dyDescent="0.2">
      <c r="A17" t="s">
        <v>8</v>
      </c>
    </row>
    <row r="19" spans="1:11" ht="14.25" x14ac:dyDescent="0.2">
      <c r="B19" t="s">
        <v>83</v>
      </c>
    </row>
    <row r="21" spans="1:11" ht="14.25" x14ac:dyDescent="0.2">
      <c r="B21" t="s">
        <v>77</v>
      </c>
      <c r="I21">
        <f>99*75</f>
        <v>7425</v>
      </c>
    </row>
    <row r="23" spans="1:11" ht="14.25" x14ac:dyDescent="0.2">
      <c r="B23" t="s">
        <v>96</v>
      </c>
    </row>
    <row r="25" spans="1:11" ht="14.25" x14ac:dyDescent="0.2">
      <c r="B25" t="s">
        <v>97</v>
      </c>
    </row>
    <row r="27" spans="1:11" x14ac:dyDescent="0.2">
      <c r="C27" t="s">
        <v>78</v>
      </c>
    </row>
    <row r="29" spans="1:11" ht="14.25" x14ac:dyDescent="0.2">
      <c r="C29" t="s">
        <v>79</v>
      </c>
    </row>
    <row r="31" spans="1:11" ht="14.25" x14ac:dyDescent="0.2">
      <c r="H31" t="s">
        <v>80</v>
      </c>
      <c r="I31">
        <f>0.5^100</f>
        <v>7.8886090522101181E-31</v>
      </c>
      <c r="K31">
        <f>I31*1E+31</f>
        <v>7.8886090522101178</v>
      </c>
    </row>
    <row r="33" spans="1:11" ht="14.25" x14ac:dyDescent="0.2">
      <c r="C33" t="s">
        <v>81</v>
      </c>
      <c r="H33" t="s">
        <v>82</v>
      </c>
      <c r="I33">
        <f>K31^75</f>
        <v>1.8837901431529633E+67</v>
      </c>
      <c r="K33">
        <f>I33*1E-67</f>
        <v>1.8837901431529631</v>
      </c>
    </row>
    <row r="34" spans="1:11" x14ac:dyDescent="0.2">
      <c r="H34" t="s">
        <v>39</v>
      </c>
      <c r="I34" s="3" t="s">
        <v>40</v>
      </c>
      <c r="K34">
        <f>-31*75</f>
        <v>-2325</v>
      </c>
    </row>
    <row r="36" spans="1:11" x14ac:dyDescent="0.2">
      <c r="G36" s="4" t="s">
        <v>9</v>
      </c>
      <c r="I36" s="5" t="s">
        <v>41</v>
      </c>
      <c r="K36">
        <f>K34+67</f>
        <v>-2258</v>
      </c>
    </row>
    <row r="37" spans="1:11" x14ac:dyDescent="0.2">
      <c r="H37" s="6"/>
    </row>
    <row r="38" spans="1:11" ht="20.25" x14ac:dyDescent="0.3">
      <c r="E38" s="7" t="s">
        <v>10</v>
      </c>
    </row>
    <row r="39" spans="1:11" ht="20.25" x14ac:dyDescent="0.3">
      <c r="E39" s="7"/>
    </row>
    <row r="40" spans="1:11" ht="20.25" x14ac:dyDescent="0.3">
      <c r="B40" t="s">
        <v>11</v>
      </c>
      <c r="E40" s="7"/>
    </row>
    <row r="41" spans="1:11" ht="20.25" x14ac:dyDescent="0.3">
      <c r="E41" s="7"/>
    </row>
    <row r="42" spans="1:11" ht="20.25" x14ac:dyDescent="0.3">
      <c r="E42" s="7"/>
    </row>
    <row r="43" spans="1:11" ht="20.25" x14ac:dyDescent="0.3">
      <c r="E43" s="7"/>
    </row>
    <row r="44" spans="1:11" ht="20.25" x14ac:dyDescent="0.3">
      <c r="E44" s="7"/>
    </row>
    <row r="45" spans="1:11" x14ac:dyDescent="0.2">
      <c r="A45" s="2" t="s">
        <v>12</v>
      </c>
    </row>
    <row r="47" spans="1:11" x14ac:dyDescent="0.2">
      <c r="A47" t="s">
        <v>3</v>
      </c>
    </row>
    <row r="48" spans="1:11" x14ac:dyDescent="0.2">
      <c r="B48" t="s">
        <v>13</v>
      </c>
    </row>
    <row r="49" spans="1:10" x14ac:dyDescent="0.2">
      <c r="B49" t="s">
        <v>14</v>
      </c>
    </row>
    <row r="51" spans="1:10" x14ac:dyDescent="0.2">
      <c r="A51" t="s">
        <v>15</v>
      </c>
    </row>
    <row r="53" spans="1:10" x14ac:dyDescent="0.2">
      <c r="B53" t="s">
        <v>16</v>
      </c>
      <c r="F53" t="s">
        <v>17</v>
      </c>
    </row>
    <row r="55" spans="1:10" x14ac:dyDescent="0.2">
      <c r="G55" t="s">
        <v>18</v>
      </c>
    </row>
    <row r="57" spans="1:10" x14ac:dyDescent="0.2">
      <c r="E57" s="4" t="s">
        <v>9</v>
      </c>
      <c r="F57" s="13">
        <f>1000000000*60*60*24*365*1000000000000</f>
        <v>3.1535999999999999E+28</v>
      </c>
      <c r="J57" s="8">
        <f>F57*1E-28</f>
        <v>3.1536</v>
      </c>
    </row>
    <row r="59" spans="1:10" x14ac:dyDescent="0.2">
      <c r="A59" t="s">
        <v>19</v>
      </c>
      <c r="G59" s="5" t="s">
        <v>42</v>
      </c>
      <c r="I59">
        <f>K33*J57</f>
        <v>5.9407205954471847</v>
      </c>
    </row>
    <row r="60" spans="1:10" x14ac:dyDescent="0.2">
      <c r="I60">
        <f>K36+28</f>
        <v>-2230</v>
      </c>
    </row>
    <row r="61" spans="1:10" x14ac:dyDescent="0.2">
      <c r="B61" t="s">
        <v>20</v>
      </c>
    </row>
    <row r="63" spans="1:10" x14ac:dyDescent="0.2">
      <c r="A63" s="2" t="s">
        <v>21</v>
      </c>
    </row>
    <row r="64" spans="1:10" x14ac:dyDescent="0.2">
      <c r="I64" s="5"/>
    </row>
    <row r="65" spans="1:10" x14ac:dyDescent="0.2">
      <c r="A65" t="s">
        <v>3</v>
      </c>
      <c r="H65" s="5"/>
    </row>
    <row r="67" spans="1:10" x14ac:dyDescent="0.2">
      <c r="B67" t="s">
        <v>51</v>
      </c>
    </row>
    <row r="68" spans="1:10" x14ac:dyDescent="0.2">
      <c r="C68" s="9"/>
    </row>
    <row r="69" spans="1:10" x14ac:dyDescent="0.2">
      <c r="E69" s="5">
        <v>4.6199999999999999E+45</v>
      </c>
      <c r="F69" t="s">
        <v>52</v>
      </c>
    </row>
    <row r="71" spans="1:10" x14ac:dyDescent="0.2">
      <c r="B71" t="s">
        <v>61</v>
      </c>
      <c r="G71">
        <v>2</v>
      </c>
    </row>
    <row r="73" spans="1:10" x14ac:dyDescent="0.2">
      <c r="A73" t="s">
        <v>15</v>
      </c>
    </row>
    <row r="74" spans="1:10" x14ac:dyDescent="0.2">
      <c r="B74" t="s">
        <v>53</v>
      </c>
      <c r="F74" s="5">
        <f>E69/G71</f>
        <v>2.31E+45</v>
      </c>
    </row>
    <row r="75" spans="1:10" x14ac:dyDescent="0.2">
      <c r="B75" t="s">
        <v>63</v>
      </c>
      <c r="F75" s="5">
        <f>F74/2</f>
        <v>1.155E+45</v>
      </c>
      <c r="J75">
        <f>F75*1E-44</f>
        <v>11.549999999999999</v>
      </c>
    </row>
    <row r="76" spans="1:10" x14ac:dyDescent="0.2">
      <c r="C76" s="4"/>
    </row>
    <row r="77" spans="1:10" x14ac:dyDescent="0.2">
      <c r="I77">
        <f>J75*I59</f>
        <v>68.615322877414982</v>
      </c>
      <c r="J77">
        <f>I77/10</f>
        <v>6.8615322877414986</v>
      </c>
    </row>
    <row r="78" spans="1:10" x14ac:dyDescent="0.2">
      <c r="A78" t="s">
        <v>19</v>
      </c>
      <c r="G78" s="5" t="s">
        <v>62</v>
      </c>
      <c r="I78">
        <f>I60+44</f>
        <v>-2186</v>
      </c>
      <c r="J78">
        <f>I78+1</f>
        <v>-2185</v>
      </c>
    </row>
    <row r="79" spans="1:10" x14ac:dyDescent="0.2">
      <c r="B79" t="s">
        <v>22</v>
      </c>
    </row>
    <row r="81" spans="1:8" x14ac:dyDescent="0.2">
      <c r="A81" s="2" t="s">
        <v>23</v>
      </c>
    </row>
    <row r="83" spans="1:8" x14ac:dyDescent="0.2">
      <c r="A83" t="s">
        <v>24</v>
      </c>
    </row>
    <row r="85" spans="1:8" x14ac:dyDescent="0.2">
      <c r="A85" t="s">
        <v>3</v>
      </c>
    </row>
    <row r="87" spans="1:8" x14ac:dyDescent="0.2">
      <c r="B87" t="s">
        <v>56</v>
      </c>
      <c r="G87" s="5">
        <v>4.3000000000000001E+75</v>
      </c>
      <c r="H87" t="s">
        <v>52</v>
      </c>
    </row>
    <row r="88" spans="1:8" x14ac:dyDescent="0.2">
      <c r="B88" t="s">
        <v>61</v>
      </c>
      <c r="G88">
        <v>2</v>
      </c>
    </row>
    <row r="89" spans="1:8" x14ac:dyDescent="0.2">
      <c r="B89" t="s">
        <v>54</v>
      </c>
    </row>
    <row r="90" spans="1:8" x14ac:dyDescent="0.2">
      <c r="B90" t="s">
        <v>55</v>
      </c>
    </row>
    <row r="93" spans="1:8" x14ac:dyDescent="0.2">
      <c r="A93" t="s">
        <v>15</v>
      </c>
    </row>
    <row r="94" spans="1:8" x14ac:dyDescent="0.2">
      <c r="B94" t="s">
        <v>53</v>
      </c>
      <c r="F94" s="5">
        <f>G87/G88</f>
        <v>2.1500000000000001E+75</v>
      </c>
    </row>
    <row r="95" spans="1:8" x14ac:dyDescent="0.2">
      <c r="B95" t="s">
        <v>63</v>
      </c>
      <c r="F95" s="5">
        <f>F94/2</f>
        <v>1.075E+75</v>
      </c>
    </row>
    <row r="97" spans="1:11" x14ac:dyDescent="0.2">
      <c r="B97" s="10"/>
      <c r="C97" s="5"/>
      <c r="I97" s="5">
        <f>I59*F95*20</f>
        <v>1.2772549280211449E+77</v>
      </c>
      <c r="J97" s="5">
        <f>I97/1E+77</f>
        <v>1.2772549280211449</v>
      </c>
    </row>
    <row r="98" spans="1:11" x14ac:dyDescent="0.2">
      <c r="A98" t="s">
        <v>19</v>
      </c>
      <c r="I98">
        <f>I60</f>
        <v>-2230</v>
      </c>
      <c r="J98">
        <f>I98+77</f>
        <v>-2153</v>
      </c>
    </row>
    <row r="99" spans="1:11" x14ac:dyDescent="0.2">
      <c r="B99" s="4"/>
      <c r="C99" s="5"/>
      <c r="G99" s="5" t="s">
        <v>64</v>
      </c>
    </row>
    <row r="101" spans="1:11" x14ac:dyDescent="0.2">
      <c r="B101" t="s">
        <v>25</v>
      </c>
    </row>
    <row r="104" spans="1:11" x14ac:dyDescent="0.2">
      <c r="A104" s="2" t="s">
        <v>26</v>
      </c>
    </row>
    <row r="106" spans="1:11" x14ac:dyDescent="0.2">
      <c r="B106" t="s">
        <v>43</v>
      </c>
    </row>
    <row r="108" spans="1:11" x14ac:dyDescent="0.2">
      <c r="B108" s="9" t="s">
        <v>65</v>
      </c>
      <c r="J108">
        <f>J97/0.75</f>
        <v>1.7030065706948598</v>
      </c>
      <c r="K108">
        <f>J108</f>
        <v>1.7030065706948598</v>
      </c>
    </row>
    <row r="109" spans="1:11" x14ac:dyDescent="0.2">
      <c r="J109">
        <f>J98</f>
        <v>-2153</v>
      </c>
      <c r="K109">
        <f>J109</f>
        <v>-2153</v>
      </c>
    </row>
    <row r="114" spans="1:11" x14ac:dyDescent="0.2">
      <c r="B114" t="s">
        <v>57</v>
      </c>
      <c r="J114">
        <f>K108*2</f>
        <v>3.4060131413897197</v>
      </c>
      <c r="K114">
        <f>J114/10</f>
        <v>0.34060131413897199</v>
      </c>
    </row>
    <row r="115" spans="1:11" x14ac:dyDescent="0.2">
      <c r="J115">
        <f>K109</f>
        <v>-2153</v>
      </c>
      <c r="K115">
        <f>J115+1</f>
        <v>-2152</v>
      </c>
    </row>
    <row r="116" spans="1:11" x14ac:dyDescent="0.2">
      <c r="B116" s="9" t="s">
        <v>9</v>
      </c>
      <c r="C116" s="5" t="s">
        <v>66</v>
      </c>
    </row>
    <row r="118" spans="1:11" x14ac:dyDescent="0.2">
      <c r="J118">
        <f>1/K114</f>
        <v>2.9359839744833764</v>
      </c>
      <c r="K118">
        <f>J118*10</f>
        <v>29.359839744833764</v>
      </c>
    </row>
    <row r="119" spans="1:11" x14ac:dyDescent="0.2">
      <c r="B119" t="s">
        <v>67</v>
      </c>
      <c r="J119">
        <f>-K115</f>
        <v>2152</v>
      </c>
      <c r="K119">
        <f>J119-1</f>
        <v>2151</v>
      </c>
    </row>
    <row r="121" spans="1:11" x14ac:dyDescent="0.2">
      <c r="A121" s="2" t="s">
        <v>68</v>
      </c>
    </row>
    <row r="123" spans="1:11" x14ac:dyDescent="0.2">
      <c r="A123" t="s">
        <v>69</v>
      </c>
    </row>
    <row r="124" spans="1:11" x14ac:dyDescent="0.2">
      <c r="A124" t="s">
        <v>58</v>
      </c>
    </row>
    <row r="126" spans="1:11" x14ac:dyDescent="0.2">
      <c r="A126" t="s">
        <v>27</v>
      </c>
    </row>
    <row r="127" spans="1:11" x14ac:dyDescent="0.2">
      <c r="B127" t="s">
        <v>28</v>
      </c>
    </row>
    <row r="128" spans="1:11" x14ac:dyDescent="0.2">
      <c r="B128" t="s">
        <v>29</v>
      </c>
    </row>
    <row r="130" spans="1:11" x14ac:dyDescent="0.2">
      <c r="A130" t="s">
        <v>30</v>
      </c>
    </row>
    <row r="132" spans="1:11" x14ac:dyDescent="0.2">
      <c r="A132" s="10" t="s">
        <v>9</v>
      </c>
      <c r="B132" s="5" t="s">
        <v>70</v>
      </c>
      <c r="J132">
        <f>K118/12^2/5280^2/96705*0.05/12/5280</f>
        <v>5.9680059858885014E-20</v>
      </c>
      <c r="K132">
        <f>J132*100000000000000000000</f>
        <v>5.9680059858885013</v>
      </c>
    </row>
    <row r="133" spans="1:11" x14ac:dyDescent="0.2">
      <c r="B133" t="s">
        <v>31</v>
      </c>
    </row>
    <row r="134" spans="1:11" x14ac:dyDescent="0.2">
      <c r="J134">
        <f>K119</f>
        <v>2151</v>
      </c>
      <c r="K134">
        <f>J134-20</f>
        <v>2131</v>
      </c>
    </row>
    <row r="135" spans="1:11" x14ac:dyDescent="0.2">
      <c r="A135" s="10" t="s">
        <v>9</v>
      </c>
      <c r="B135" s="5" t="s">
        <v>71</v>
      </c>
    </row>
    <row r="137" spans="1:11" x14ac:dyDescent="0.2">
      <c r="A137" t="s">
        <v>32</v>
      </c>
    </row>
    <row r="139" spans="1:11" x14ac:dyDescent="0.2">
      <c r="B139" t="s">
        <v>33</v>
      </c>
    </row>
    <row r="141" spans="1:11" x14ac:dyDescent="0.2">
      <c r="A141" t="s">
        <v>30</v>
      </c>
    </row>
    <row r="142" spans="1:11" x14ac:dyDescent="0.2">
      <c r="B142" s="5" t="s">
        <v>72</v>
      </c>
    </row>
    <row r="144" spans="1:11" x14ac:dyDescent="0.2">
      <c r="B144" s="4" t="s">
        <v>9</v>
      </c>
      <c r="C144" s="5" t="s">
        <v>73</v>
      </c>
      <c r="J144">
        <f>K132/186000/60/60/24/365</f>
        <v>1.0174420880128293E-12</v>
      </c>
      <c r="K144">
        <f>J144*1000000000000</f>
        <v>1.0174420880128292</v>
      </c>
    </row>
    <row r="145" spans="1:11" x14ac:dyDescent="0.2">
      <c r="J145">
        <f>K134</f>
        <v>2131</v>
      </c>
      <c r="K145">
        <f>J145-12</f>
        <v>2119</v>
      </c>
    </row>
    <row r="146" spans="1:11" x14ac:dyDescent="0.2">
      <c r="A146" t="s">
        <v>34</v>
      </c>
    </row>
    <row r="148" spans="1:11" x14ac:dyDescent="0.2">
      <c r="A148" s="11" t="s">
        <v>59</v>
      </c>
    </row>
    <row r="149" spans="1:11" x14ac:dyDescent="0.2">
      <c r="A149" s="11"/>
    </row>
    <row r="150" spans="1:11" x14ac:dyDescent="0.2">
      <c r="A150" s="11"/>
    </row>
    <row r="151" spans="1:11" ht="15.75" x14ac:dyDescent="0.25">
      <c r="A151" s="1" t="s">
        <v>35</v>
      </c>
    </row>
    <row r="153" spans="1:11" x14ac:dyDescent="0.2">
      <c r="A153" t="s">
        <v>36</v>
      </c>
    </row>
    <row r="155" spans="1:11" x14ac:dyDescent="0.2">
      <c r="A155" t="s">
        <v>37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selection activeCell="K22" sqref="K22"/>
    </sheetView>
  </sheetViews>
  <sheetFormatPr defaultRowHeight="12.75" x14ac:dyDescent="0.2"/>
  <cols>
    <col min="4" max="4" width="12.42578125" bestFit="1" customWidth="1"/>
    <col min="6" max="6" width="11.5703125" customWidth="1"/>
    <col min="7" max="7" width="16.5703125" customWidth="1"/>
    <col min="8" max="11" width="12.42578125" bestFit="1" customWidth="1"/>
  </cols>
  <sheetData>
    <row r="1" spans="1:8" ht="15.75" x14ac:dyDescent="0.25">
      <c r="A1" s="1" t="s">
        <v>0</v>
      </c>
      <c r="F1" t="s">
        <v>1</v>
      </c>
      <c r="H1" s="12"/>
    </row>
    <row r="2" spans="1:8" x14ac:dyDescent="0.2">
      <c r="H2" s="12" t="s">
        <v>44</v>
      </c>
    </row>
    <row r="3" spans="1:8" x14ac:dyDescent="0.2">
      <c r="A3" s="2" t="s">
        <v>2</v>
      </c>
    </row>
    <row r="6" spans="1:8" x14ac:dyDescent="0.2">
      <c r="A6" t="s">
        <v>3</v>
      </c>
    </row>
    <row r="8" spans="1:8" x14ac:dyDescent="0.2">
      <c r="B8" t="s">
        <v>45</v>
      </c>
    </row>
    <row r="9" spans="1:8" x14ac:dyDescent="0.2">
      <c r="B9" t="s">
        <v>6</v>
      </c>
    </row>
    <row r="10" spans="1:8" x14ac:dyDescent="0.2">
      <c r="B10" t="s">
        <v>7</v>
      </c>
    </row>
    <row r="11" spans="1:8" x14ac:dyDescent="0.2">
      <c r="B11" t="s">
        <v>74</v>
      </c>
    </row>
    <row r="12" spans="1:8" x14ac:dyDescent="0.2">
      <c r="B12" t="s">
        <v>75</v>
      </c>
    </row>
    <row r="14" spans="1:8" x14ac:dyDescent="0.2">
      <c r="A14" t="s">
        <v>8</v>
      </c>
    </row>
    <row r="16" spans="1:8" ht="14.25" x14ac:dyDescent="0.2">
      <c r="B16" t="s">
        <v>84</v>
      </c>
    </row>
    <row r="18" spans="2:11" ht="14.25" x14ac:dyDescent="0.2">
      <c r="B18" t="s">
        <v>85</v>
      </c>
      <c r="I18">
        <f>49*75</f>
        <v>3675</v>
      </c>
    </row>
    <row r="20" spans="2:11" ht="14.25" x14ac:dyDescent="0.2">
      <c r="B20" t="s">
        <v>86</v>
      </c>
    </row>
    <row r="22" spans="2:11" ht="14.25" x14ac:dyDescent="0.2">
      <c r="B22" t="s">
        <v>87</v>
      </c>
    </row>
    <row r="24" spans="2:11" x14ac:dyDescent="0.2">
      <c r="C24" t="s">
        <v>78</v>
      </c>
    </row>
    <row r="26" spans="2:11" ht="14.25" x14ac:dyDescent="0.2">
      <c r="C26" t="s">
        <v>88</v>
      </c>
    </row>
    <row r="28" spans="2:11" ht="14.25" x14ac:dyDescent="0.2">
      <c r="H28" t="s">
        <v>89</v>
      </c>
      <c r="I28">
        <f>0.5^50</f>
        <v>8.8817841970012523E-16</v>
      </c>
      <c r="K28">
        <f>I28*10000000000000000</f>
        <v>8.8817841970012523</v>
      </c>
    </row>
    <row r="30" spans="2:11" ht="14.25" x14ac:dyDescent="0.2">
      <c r="C30" t="s">
        <v>90</v>
      </c>
      <c r="H30" t="s">
        <v>91</v>
      </c>
      <c r="I30">
        <f>K28^75</f>
        <v>1.3725123471768763E+71</v>
      </c>
      <c r="K30">
        <f>I30*1E-71</f>
        <v>1.3725123471768761</v>
      </c>
    </row>
    <row r="31" spans="2:11" x14ac:dyDescent="0.2">
      <c r="H31" t="s">
        <v>46</v>
      </c>
      <c r="I31" s="3" t="s">
        <v>47</v>
      </c>
      <c r="K31">
        <f>-16*75</f>
        <v>-1200</v>
      </c>
    </row>
    <row r="33" spans="1:11" x14ac:dyDescent="0.2">
      <c r="G33" s="4" t="s">
        <v>9</v>
      </c>
      <c r="I33" s="5" t="s">
        <v>92</v>
      </c>
      <c r="K33">
        <f>K31+67</f>
        <v>-1133</v>
      </c>
    </row>
    <row r="34" spans="1:11" x14ac:dyDescent="0.2">
      <c r="H34" s="6"/>
    </row>
    <row r="35" spans="1:11" ht="20.25" x14ac:dyDescent="0.3">
      <c r="E35" s="7" t="s">
        <v>10</v>
      </c>
    </row>
    <row r="36" spans="1:11" ht="20.25" x14ac:dyDescent="0.3">
      <c r="E36" s="7"/>
    </row>
    <row r="37" spans="1:11" ht="20.25" x14ac:dyDescent="0.3">
      <c r="B37" t="s">
        <v>11</v>
      </c>
      <c r="E37" s="7"/>
    </row>
    <row r="38" spans="1:11" ht="20.25" x14ac:dyDescent="0.3">
      <c r="E38" s="7"/>
    </row>
    <row r="39" spans="1:11" ht="20.25" x14ac:dyDescent="0.3">
      <c r="E39" s="7"/>
    </row>
    <row r="40" spans="1:11" ht="20.25" x14ac:dyDescent="0.3">
      <c r="E40" s="7"/>
    </row>
    <row r="41" spans="1:11" ht="20.25" x14ac:dyDescent="0.3">
      <c r="E41" s="7"/>
    </row>
    <row r="42" spans="1:11" x14ac:dyDescent="0.2">
      <c r="A42" s="2" t="s">
        <v>12</v>
      </c>
    </row>
    <row r="44" spans="1:11" x14ac:dyDescent="0.2">
      <c r="A44" t="s">
        <v>3</v>
      </c>
    </row>
    <row r="45" spans="1:11" x14ac:dyDescent="0.2">
      <c r="B45" t="s">
        <v>13</v>
      </c>
    </row>
    <row r="46" spans="1:11" x14ac:dyDescent="0.2">
      <c r="B46" t="s">
        <v>14</v>
      </c>
    </row>
    <row r="48" spans="1:11" x14ac:dyDescent="0.2">
      <c r="A48" t="s">
        <v>15</v>
      </c>
    </row>
    <row r="50" spans="1:10" x14ac:dyDescent="0.2">
      <c r="B50" t="s">
        <v>16</v>
      </c>
      <c r="F50" t="s">
        <v>17</v>
      </c>
    </row>
    <row r="52" spans="1:10" x14ac:dyDescent="0.2">
      <c r="G52" t="s">
        <v>18</v>
      </c>
    </row>
    <row r="54" spans="1:10" x14ac:dyDescent="0.2">
      <c r="E54" s="4" t="s">
        <v>9</v>
      </c>
      <c r="F54" s="5">
        <f>1000000000*60*60*24*365*1000000000000</f>
        <v>3.1535999999999999E+28</v>
      </c>
      <c r="J54" s="8">
        <f>F54*1E-28</f>
        <v>3.1536</v>
      </c>
    </row>
    <row r="56" spans="1:10" x14ac:dyDescent="0.2">
      <c r="A56" t="s">
        <v>19</v>
      </c>
      <c r="G56" s="5" t="s">
        <v>93</v>
      </c>
      <c r="I56">
        <f>K30*J54</f>
        <v>4.3283549380569966</v>
      </c>
    </row>
    <row r="57" spans="1:10" x14ac:dyDescent="0.2">
      <c r="I57">
        <f>K33+28</f>
        <v>-1105</v>
      </c>
    </row>
    <row r="58" spans="1:10" x14ac:dyDescent="0.2">
      <c r="B58" t="s">
        <v>20</v>
      </c>
    </row>
    <row r="60" spans="1:10" x14ac:dyDescent="0.2">
      <c r="A60" s="2" t="s">
        <v>21</v>
      </c>
    </row>
    <row r="61" spans="1:10" x14ac:dyDescent="0.2">
      <c r="I61" s="5"/>
    </row>
    <row r="62" spans="1:10" x14ac:dyDescent="0.2">
      <c r="A62" t="s">
        <v>3</v>
      </c>
      <c r="H62" s="5"/>
    </row>
    <row r="64" spans="1:10" x14ac:dyDescent="0.2">
      <c r="B64" t="s">
        <v>51</v>
      </c>
    </row>
    <row r="65" spans="1:10" x14ac:dyDescent="0.2">
      <c r="C65" s="9"/>
    </row>
    <row r="66" spans="1:10" x14ac:dyDescent="0.2">
      <c r="E66" s="5">
        <v>4.6199999999999999E+45</v>
      </c>
      <c r="F66" t="s">
        <v>52</v>
      </c>
    </row>
    <row r="68" spans="1:10" x14ac:dyDescent="0.2">
      <c r="B68" t="s">
        <v>61</v>
      </c>
      <c r="G68">
        <v>2</v>
      </c>
    </row>
    <row r="70" spans="1:10" x14ac:dyDescent="0.2">
      <c r="A70" t="s">
        <v>15</v>
      </c>
    </row>
    <row r="71" spans="1:10" x14ac:dyDescent="0.2">
      <c r="B71" t="s">
        <v>53</v>
      </c>
      <c r="F71" s="5">
        <f>E66/G68</f>
        <v>2.31E+45</v>
      </c>
    </row>
    <row r="72" spans="1:10" x14ac:dyDescent="0.2">
      <c r="B72" t="s">
        <v>63</v>
      </c>
      <c r="F72" s="5">
        <f>F71/2</f>
        <v>1.155E+45</v>
      </c>
      <c r="J72" s="14">
        <f>F72*1E-45</f>
        <v>1.155</v>
      </c>
    </row>
    <row r="73" spans="1:10" x14ac:dyDescent="0.2">
      <c r="C73" s="4"/>
    </row>
    <row r="74" spans="1:10" x14ac:dyDescent="0.2">
      <c r="I74">
        <f>J72*I56</f>
        <v>4.9992499534558315</v>
      </c>
      <c r="J74">
        <f>I74/10</f>
        <v>0.49992499534558316</v>
      </c>
    </row>
    <row r="75" spans="1:10" x14ac:dyDescent="0.2">
      <c r="A75" t="s">
        <v>19</v>
      </c>
      <c r="G75" s="5" t="s">
        <v>94</v>
      </c>
      <c r="I75">
        <f>I57+45</f>
        <v>-1060</v>
      </c>
      <c r="J75">
        <f>I75+1</f>
        <v>-1059</v>
      </c>
    </row>
    <row r="76" spans="1:10" x14ac:dyDescent="0.2">
      <c r="B76" t="s">
        <v>22</v>
      </c>
    </row>
    <row r="78" spans="1:10" x14ac:dyDescent="0.2">
      <c r="A78" s="2" t="s">
        <v>23</v>
      </c>
    </row>
    <row r="80" spans="1:10" x14ac:dyDescent="0.2">
      <c r="A80" t="s">
        <v>24</v>
      </c>
    </row>
    <row r="82" spans="1:10" x14ac:dyDescent="0.2">
      <c r="A82" t="s">
        <v>3</v>
      </c>
    </row>
    <row r="84" spans="1:10" x14ac:dyDescent="0.2">
      <c r="B84" t="s">
        <v>56</v>
      </c>
      <c r="G84" s="5">
        <v>4.3000000000000001E+75</v>
      </c>
      <c r="H84" t="s">
        <v>52</v>
      </c>
    </row>
    <row r="85" spans="1:10" x14ac:dyDescent="0.2">
      <c r="B85" t="s">
        <v>61</v>
      </c>
      <c r="G85">
        <v>2</v>
      </c>
    </row>
    <row r="86" spans="1:10" x14ac:dyDescent="0.2">
      <c r="B86" t="s">
        <v>54</v>
      </c>
    </row>
    <row r="87" spans="1:10" x14ac:dyDescent="0.2">
      <c r="B87" t="s">
        <v>55</v>
      </c>
    </row>
    <row r="90" spans="1:10" x14ac:dyDescent="0.2">
      <c r="A90" t="s">
        <v>15</v>
      </c>
    </row>
    <row r="91" spans="1:10" x14ac:dyDescent="0.2">
      <c r="B91" t="s">
        <v>53</v>
      </c>
      <c r="F91" s="5">
        <f>G84/G85</f>
        <v>2.1500000000000001E+75</v>
      </c>
    </row>
    <row r="92" spans="1:10" x14ac:dyDescent="0.2">
      <c r="B92" t="s">
        <v>63</v>
      </c>
      <c r="F92" s="5">
        <f>F91/2</f>
        <v>1.075E+75</v>
      </c>
    </row>
    <row r="94" spans="1:10" x14ac:dyDescent="0.2">
      <c r="B94" s="10"/>
      <c r="C94" s="5"/>
      <c r="I94" s="5">
        <f>I56*F92*20</f>
        <v>9.3059631168225421E+76</v>
      </c>
      <c r="J94" s="14">
        <f>I94/1E+76</f>
        <v>9.3059631168225412</v>
      </c>
    </row>
    <row r="95" spans="1:10" x14ac:dyDescent="0.2">
      <c r="A95" t="s">
        <v>19</v>
      </c>
      <c r="I95">
        <f>I57</f>
        <v>-1105</v>
      </c>
      <c r="J95">
        <f>I95+76</f>
        <v>-1029</v>
      </c>
    </row>
    <row r="96" spans="1:10" x14ac:dyDescent="0.2">
      <c r="B96" s="4"/>
      <c r="C96" s="5"/>
      <c r="G96" s="5" t="s">
        <v>95</v>
      </c>
    </row>
    <row r="98" spans="1:11" x14ac:dyDescent="0.2">
      <c r="B98" t="s">
        <v>25</v>
      </c>
    </row>
    <row r="101" spans="1:11" x14ac:dyDescent="0.2">
      <c r="A101" s="2" t="s">
        <v>26</v>
      </c>
    </row>
    <row r="103" spans="1:11" x14ac:dyDescent="0.2">
      <c r="B103" t="s">
        <v>98</v>
      </c>
    </row>
    <row r="105" spans="1:11" x14ac:dyDescent="0.2">
      <c r="B105" s="9" t="s">
        <v>99</v>
      </c>
      <c r="J105">
        <f>J94/0.5</f>
        <v>18.611926233645082</v>
      </c>
      <c r="K105">
        <f>J105/10</f>
        <v>1.8611926233645082</v>
      </c>
    </row>
    <row r="106" spans="1:11" x14ac:dyDescent="0.2">
      <c r="J106">
        <f>J95</f>
        <v>-1029</v>
      </c>
      <c r="K106">
        <f>J106+1</f>
        <v>-1028</v>
      </c>
    </row>
    <row r="110" spans="1:11" x14ac:dyDescent="0.2">
      <c r="J110">
        <f>1/K105</f>
        <v>0.5372899008122457</v>
      </c>
      <c r="K110">
        <f>J110*10</f>
        <v>5.3728990081224568</v>
      </c>
    </row>
    <row r="111" spans="1:11" x14ac:dyDescent="0.2">
      <c r="B111" t="s">
        <v>100</v>
      </c>
      <c r="J111">
        <f>-K106</f>
        <v>1028</v>
      </c>
      <c r="K111">
        <f>J111-1</f>
        <v>1027</v>
      </c>
    </row>
    <row r="113" spans="1:11" x14ac:dyDescent="0.2">
      <c r="A113" s="2" t="s">
        <v>101</v>
      </c>
    </row>
    <row r="115" spans="1:11" x14ac:dyDescent="0.2">
      <c r="A115" t="s">
        <v>102</v>
      </c>
    </row>
    <row r="116" spans="1:11" x14ac:dyDescent="0.2">
      <c r="A116" t="s">
        <v>58</v>
      </c>
    </row>
    <row r="118" spans="1:11" x14ac:dyDescent="0.2">
      <c r="A118" t="s">
        <v>27</v>
      </c>
    </row>
    <row r="119" spans="1:11" x14ac:dyDescent="0.2">
      <c r="B119" t="s">
        <v>28</v>
      </c>
    </row>
    <row r="120" spans="1:11" x14ac:dyDescent="0.2">
      <c r="B120" t="s">
        <v>29</v>
      </c>
    </row>
    <row r="122" spans="1:11" x14ac:dyDescent="0.2">
      <c r="A122" t="s">
        <v>30</v>
      </c>
    </row>
    <row r="124" spans="1:11" x14ac:dyDescent="0.2">
      <c r="A124" s="10" t="s">
        <v>9</v>
      </c>
      <c r="B124" s="5" t="s">
        <v>103</v>
      </c>
      <c r="J124">
        <f>K110/12^2/5280^2/96705*0.05/12/5280</f>
        <v>1.0921549204876551E-20</v>
      </c>
      <c r="K124">
        <f>J124*100000000000000000000</f>
        <v>1.0921549204876551</v>
      </c>
    </row>
    <row r="125" spans="1:11" x14ac:dyDescent="0.2">
      <c r="B125" t="s">
        <v>31</v>
      </c>
    </row>
    <row r="126" spans="1:11" x14ac:dyDescent="0.2">
      <c r="J126">
        <f>K111</f>
        <v>1027</v>
      </c>
      <c r="K126">
        <f>J126-20</f>
        <v>1007</v>
      </c>
    </row>
    <row r="127" spans="1:11" x14ac:dyDescent="0.2">
      <c r="A127" s="10" t="s">
        <v>9</v>
      </c>
      <c r="B127" s="5" t="s">
        <v>104</v>
      </c>
    </row>
    <row r="129" spans="1:11" x14ac:dyDescent="0.2">
      <c r="A129" t="s">
        <v>32</v>
      </c>
    </row>
    <row r="131" spans="1:11" x14ac:dyDescent="0.2">
      <c r="B131" t="s">
        <v>33</v>
      </c>
    </row>
    <row r="133" spans="1:11" x14ac:dyDescent="0.2">
      <c r="A133" t="s">
        <v>30</v>
      </c>
    </row>
    <row r="134" spans="1:11" x14ac:dyDescent="0.2">
      <c r="B134" s="5" t="s">
        <v>105</v>
      </c>
    </row>
    <row r="136" spans="1:11" x14ac:dyDescent="0.2">
      <c r="B136" s="4" t="s">
        <v>9</v>
      </c>
      <c r="C136" s="5" t="s">
        <v>106</v>
      </c>
      <c r="J136">
        <f>K124/186000/60/60/24/365</f>
        <v>1.8619357711133596E-13</v>
      </c>
      <c r="K136">
        <f>J136*10000000000000</f>
        <v>1.8619357711133595</v>
      </c>
    </row>
    <row r="137" spans="1:11" x14ac:dyDescent="0.2">
      <c r="J137">
        <f>K126</f>
        <v>1007</v>
      </c>
      <c r="K137">
        <f>J137-13</f>
        <v>994</v>
      </c>
    </row>
    <row r="138" spans="1:11" x14ac:dyDescent="0.2">
      <c r="A138" t="s">
        <v>34</v>
      </c>
    </row>
    <row r="140" spans="1:11" x14ac:dyDescent="0.2">
      <c r="A140" s="11" t="s">
        <v>59</v>
      </c>
    </row>
    <row r="141" spans="1:11" x14ac:dyDescent="0.2">
      <c r="A141" s="11"/>
    </row>
    <row r="142" spans="1:11" x14ac:dyDescent="0.2">
      <c r="A142" s="11"/>
    </row>
    <row r="143" spans="1:11" ht="15.75" x14ac:dyDescent="0.25">
      <c r="A143" s="1" t="s">
        <v>35</v>
      </c>
    </row>
    <row r="145" spans="1:1" x14ac:dyDescent="0.2">
      <c r="A145" t="s">
        <v>36</v>
      </c>
    </row>
    <row r="147" spans="1:1" x14ac:dyDescent="0.2">
      <c r="A147" t="s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infinite series</vt:lpstr>
      <vt:lpstr>Sheet2</vt:lpstr>
      <vt:lpstr>Sheet3</vt:lpstr>
    </vt:vector>
  </TitlesOfParts>
  <Company>Campus Crusade for Christ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P. Feiger</dc:creator>
  <cp:lastModifiedBy>Tony Feiger</cp:lastModifiedBy>
  <cp:lastPrinted>2006-07-03T17:40:25Z</cp:lastPrinted>
  <dcterms:created xsi:type="dcterms:W3CDTF">2002-11-22T19:43:12Z</dcterms:created>
  <dcterms:modified xsi:type="dcterms:W3CDTF">2020-08-13T17:52:51Z</dcterms:modified>
</cp:coreProperties>
</file>